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<sst xmlns="http://schemas.openxmlformats.org/spreadsheetml/2006/main" count="95" uniqueCount="54">
  <si>
    <t>Parallel Trap Circuit to tame Peaks in response</t>
  </si>
  <si>
    <t>TOTAL DRIVER IMPEDANCE:</t>
  </si>
  <si>
    <t>Ohms</t>
  </si>
  <si>
    <t>Peak</t>
  </si>
  <si>
    <t>=</t>
  </si>
  <si>
    <t>dB</t>
  </si>
  <si>
    <t>f1=</t>
  </si>
  <si>
    <t>f=</t>
  </si>
  <si>
    <t>f2=</t>
  </si>
  <si>
    <t>B=</t>
  </si>
  <si>
    <t>Adjusted values:</t>
  </si>
  <si>
    <t>Choose</t>
  </si>
  <si>
    <t>Adjust C only!</t>
  </si>
  <si>
    <t>C=</t>
  </si>
  <si>
    <t>Farads</t>
  </si>
  <si>
    <t>==&gt;</t>
  </si>
  <si>
    <t>uF</t>
  </si>
  <si>
    <t>L=</t>
  </si>
  <si>
    <t>Henrys</t>
  </si>
  <si>
    <t>mH</t>
  </si>
  <si>
    <t>L x C =</t>
  </si>
  <si>
    <t>R=</t>
  </si>
  <si>
    <t>New Resistor Value for the above attenuation desired:</t>
  </si>
  <si>
    <t>Z of Circuit:</t>
  </si>
  <si>
    <t>New Z:</t>
  </si>
  <si>
    <t>Total Attenuation:</t>
  </si>
  <si>
    <t>New Attenuation:</t>
  </si>
  <si>
    <t>If a Narrower filter is desired (higher Q):</t>
  </si>
  <si>
    <t xml:space="preserve">  Increase  C and decrease L.</t>
  </si>
  <si>
    <t>If a Wider filter is desired (lower Q):</t>
  </si>
  <si>
    <t xml:space="preserve">  Decrease C and increase L.</t>
  </si>
  <si>
    <t>(Spanning &gt; 2 octaves)</t>
  </si>
  <si>
    <t>Attenuation Circuits</t>
  </si>
  <si>
    <t>Resistances:</t>
  </si>
  <si>
    <t>Series R1</t>
  </si>
  <si>
    <t>Parallel R2</t>
  </si>
  <si>
    <t>Driver</t>
  </si>
  <si>
    <t>Attenuation</t>
  </si>
  <si>
    <t>Response Shaping Circuitry (for sloping responses)</t>
  </si>
  <si>
    <t>Hz</t>
  </si>
  <si>
    <t>When Driver response is:</t>
  </si>
  <si>
    <t>Z of circuit:</t>
  </si>
  <si>
    <t>Reactance:</t>
  </si>
  <si>
    <t>Attenuation:</t>
  </si>
  <si>
    <t>Rise End</t>
  </si>
  <si>
    <t>Rising w/increasing freq, L=</t>
  </si>
  <si>
    <t>Rising w/decreasing freq, C=</t>
  </si>
  <si>
    <t>Higher Frequency F</t>
  </si>
  <si>
    <t>Lower Frequency F</t>
  </si>
  <si>
    <t>Note:  Not needed for calculations</t>
  </si>
  <si>
    <t>Resistor (with Inductor)</t>
  </si>
  <si>
    <t>Resistor (with Capacitor)</t>
  </si>
  <si>
    <t>(regardless of direction of rising freq.)</t>
  </si>
  <si>
    <t>Input into the blue boxes.  The blue capacitor box allows you to change the capacitor and see the change in the inductor and the resistor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</si>
</sst>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E+0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2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2" fontId="0" fillId="0" borderId="0" xfId="0" applyNumberForma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2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2" fontId="1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2" fontId="0" fillId="3" borderId="0" xfId="0" applyNumberFormat="1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2" fontId="2" fillId="4" borderId="0" xfId="0" applyNumberFormat="1" applyFont="1" applyFill="1" applyAlignment="1" applyProtection="1">
      <alignment/>
      <protection locked="0"/>
    </xf>
    <xf numFmtId="0" fontId="2" fillId="4" borderId="0" xfId="0" applyFont="1" applyFill="1" applyAlignment="1" applyProtection="1">
      <alignment horizontal="left"/>
      <protection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right"/>
    </xf>
    <xf numFmtId="2" fontId="0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/>
    </xf>
    <xf numFmtId="0" fontId="2" fillId="4" borderId="0" xfId="0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2" fillId="0" borderId="0" xfId="0" applyFont="1" applyAlignment="1" quotePrefix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2" fontId="2" fillId="4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70" fontId="2" fillId="0" borderId="0" xfId="0" applyNumberFormat="1" applyFont="1" applyFill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right"/>
    </xf>
    <xf numFmtId="2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2" fontId="0" fillId="0" borderId="0" xfId="0" applyNumberFormat="1" applyFont="1" applyFill="1" applyAlignment="1" applyProtection="1">
      <alignment horizontal="center"/>
      <protection/>
    </xf>
    <xf numFmtId="2" fontId="9" fillId="2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ill="1" applyBorder="1" applyAlignment="1" applyProtection="1">
      <alignment horizontal="right"/>
      <protection/>
    </xf>
    <xf numFmtId="2" fontId="2" fillId="5" borderId="0" xfId="0" applyNumberFormat="1" applyFont="1" applyFill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2" fontId="0" fillId="5" borderId="0" xfId="0" applyNumberFormat="1" applyFont="1" applyFill="1" applyAlignment="1" applyProtection="1">
      <alignment/>
      <protection/>
    </xf>
    <xf numFmtId="2" fontId="0" fillId="5" borderId="0" xfId="0" applyNumberFormat="1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2" fontId="0" fillId="6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left"/>
      <protection/>
    </xf>
    <xf numFmtId="0" fontId="0" fillId="4" borderId="0" xfId="0" applyFill="1" applyAlignment="1" applyProtection="1">
      <alignment horizontal="centerContinuous"/>
      <protection/>
    </xf>
    <xf numFmtId="2" fontId="0" fillId="4" borderId="0" xfId="0" applyNumberForma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47625</xdr:rowOff>
    </xdr:from>
    <xdr:to>
      <xdr:col>9</xdr:col>
      <xdr:colOff>1066800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71475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33</xdr:row>
      <xdr:rowOff>66675</xdr:rowOff>
    </xdr:from>
    <xdr:to>
      <xdr:col>7</xdr:col>
      <xdr:colOff>219075</xdr:colOff>
      <xdr:row>35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41020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1"/>
  <sheetViews>
    <sheetView tabSelected="1" workbookViewId="0" topLeftCell="A1">
      <selection activeCell="I6" sqref="I6"/>
    </sheetView>
  </sheetViews>
  <sheetFormatPr defaultColWidth="9.140625" defaultRowHeight="12.75"/>
  <cols>
    <col min="1" max="1" width="20.57421875" style="0" customWidth="1"/>
    <col min="2" max="2" width="12.57421875" style="0" customWidth="1"/>
    <col min="4" max="4" width="4.28125" style="0" customWidth="1"/>
    <col min="7" max="7" width="11.8515625" style="0" customWidth="1"/>
    <col min="9" max="9" width="13.140625" style="0" customWidth="1"/>
    <col min="10" max="10" width="24.7109375" style="0" bestFit="1" customWidth="1"/>
    <col min="11" max="11" width="12.57421875" style="0" customWidth="1"/>
    <col min="12" max="12" width="6.7109375" style="0" customWidth="1"/>
    <col min="13" max="13" width="6.421875" style="0" customWidth="1"/>
    <col min="14" max="14" width="11.421875" style="0" bestFit="1" customWidth="1"/>
    <col min="16" max="16" width="10.421875" style="0" bestFit="1" customWidth="1"/>
    <col min="17" max="17" width="10.140625" style="0" bestFit="1" customWidth="1"/>
    <col min="18" max="18" width="11.00390625" style="0" bestFit="1" customWidth="1"/>
    <col min="19" max="19" width="20.421875" style="0" bestFit="1" customWidth="1"/>
  </cols>
  <sheetData>
    <row r="1" spans="1:19" ht="12.75">
      <c r="A1" s="1" t="s">
        <v>0</v>
      </c>
      <c r="B1" s="2"/>
      <c r="C1" s="2"/>
      <c r="D1" s="2"/>
      <c r="E1" s="3"/>
      <c r="F1" s="2"/>
      <c r="G1" s="4"/>
      <c r="H1" s="4"/>
      <c r="I1" s="5"/>
      <c r="J1" s="1" t="s">
        <v>38</v>
      </c>
      <c r="K1" s="2"/>
      <c r="L1" s="2"/>
      <c r="M1" s="2"/>
      <c r="N1" s="3"/>
      <c r="O1" s="2"/>
      <c r="P1" s="2"/>
      <c r="Q1" s="4"/>
      <c r="R1" s="5"/>
      <c r="S1" s="5"/>
    </row>
    <row r="2" spans="1:19" ht="12.75">
      <c r="A2" s="109" t="s">
        <v>53</v>
      </c>
      <c r="B2" s="110"/>
      <c r="C2" s="110"/>
      <c r="D2" s="110"/>
      <c r="E2" s="111"/>
      <c r="F2" s="110"/>
      <c r="G2" s="110"/>
      <c r="H2" s="110"/>
      <c r="I2" s="112"/>
      <c r="J2" s="6"/>
      <c r="K2" s="6"/>
      <c r="L2" s="6"/>
      <c r="M2" s="6"/>
      <c r="N2" s="7"/>
      <c r="O2" s="6"/>
      <c r="P2" s="6"/>
      <c r="Q2" s="6"/>
      <c r="R2" s="5"/>
      <c r="S2" s="5"/>
    </row>
    <row r="3" spans="1:19" ht="12.75">
      <c r="A3" s="8"/>
      <c r="B3" s="9"/>
      <c r="C3" s="10" t="s">
        <v>1</v>
      </c>
      <c r="D3" s="11"/>
      <c r="E3" s="79">
        <v>8</v>
      </c>
      <c r="F3" s="62" t="s">
        <v>2</v>
      </c>
      <c r="G3" s="11"/>
      <c r="H3" s="11"/>
      <c r="I3" s="5"/>
      <c r="J3" s="8"/>
      <c r="K3" s="9"/>
      <c r="L3" s="10" t="s">
        <v>1</v>
      </c>
      <c r="M3" s="11"/>
      <c r="N3" s="79">
        <v>6.4</v>
      </c>
      <c r="O3" s="62" t="s">
        <v>2</v>
      </c>
      <c r="P3" s="96"/>
      <c r="Q3" s="97"/>
      <c r="R3" s="98"/>
      <c r="S3" s="5"/>
    </row>
    <row r="4" spans="1:19" ht="12.75">
      <c r="A4" s="9"/>
      <c r="B4" s="9"/>
      <c r="C4" s="12" t="s">
        <v>3</v>
      </c>
      <c r="D4" s="75" t="s">
        <v>4</v>
      </c>
      <c r="E4" s="79">
        <v>3</v>
      </c>
      <c r="F4" s="64" t="s">
        <v>5</v>
      </c>
      <c r="G4" s="9"/>
      <c r="H4" s="9"/>
      <c r="I4" s="5"/>
      <c r="J4" s="9"/>
      <c r="K4" s="9"/>
      <c r="L4" s="12" t="s">
        <v>3</v>
      </c>
      <c r="M4" s="75" t="s">
        <v>4</v>
      </c>
      <c r="N4" s="79">
        <v>3</v>
      </c>
      <c r="O4" s="64" t="s">
        <v>5</v>
      </c>
      <c r="P4" s="99"/>
      <c r="Q4" s="99"/>
      <c r="R4" s="99"/>
      <c r="S4" s="5"/>
    </row>
    <row r="5" spans="1:19" ht="12.75">
      <c r="A5" s="10" t="s">
        <v>6</v>
      </c>
      <c r="B5" s="77">
        <v>1300</v>
      </c>
      <c r="C5" s="9"/>
      <c r="D5" s="9"/>
      <c r="E5" s="13"/>
      <c r="F5" s="9"/>
      <c r="G5" s="9"/>
      <c r="H5" s="9"/>
      <c r="I5" s="9"/>
      <c r="J5" s="10"/>
      <c r="K5" s="72"/>
      <c r="L5" s="73" t="s">
        <v>47</v>
      </c>
      <c r="M5" s="76" t="s">
        <v>4</v>
      </c>
      <c r="N5" s="80">
        <v>5000</v>
      </c>
      <c r="O5" s="74" t="s">
        <v>39</v>
      </c>
      <c r="P5" s="106" t="s">
        <v>52</v>
      </c>
      <c r="Q5" s="97"/>
      <c r="R5" s="98"/>
      <c r="S5" s="9"/>
    </row>
    <row r="6" spans="1:19" ht="12.75">
      <c r="A6" s="10" t="s">
        <v>7</v>
      </c>
      <c r="B6" s="77">
        <v>1839</v>
      </c>
      <c r="C6" s="9"/>
      <c r="D6" s="9"/>
      <c r="E6" s="13"/>
      <c r="F6" s="9"/>
      <c r="G6" s="9"/>
      <c r="H6" s="9"/>
      <c r="I6" s="9"/>
      <c r="L6" s="73" t="s">
        <v>48</v>
      </c>
      <c r="M6" s="76" t="s">
        <v>4</v>
      </c>
      <c r="N6" s="80">
        <v>1800</v>
      </c>
      <c r="O6" s="74" t="s">
        <v>39</v>
      </c>
      <c r="P6" s="106" t="s">
        <v>52</v>
      </c>
      <c r="Q6" s="9"/>
      <c r="R6" s="10"/>
      <c r="S6" s="9"/>
    </row>
    <row r="7" spans="1:19" ht="12.75">
      <c r="A7" s="10" t="s">
        <v>8</v>
      </c>
      <c r="B7" s="77">
        <v>2600</v>
      </c>
      <c r="C7" s="9"/>
      <c r="D7" s="9"/>
      <c r="E7" s="13"/>
      <c r="F7" s="9"/>
      <c r="G7" s="9"/>
      <c r="H7" s="9"/>
      <c r="I7" s="9"/>
      <c r="J7" s="10"/>
      <c r="K7" s="10"/>
      <c r="L7" s="82"/>
      <c r="M7" s="9"/>
      <c r="N7" s="40"/>
      <c r="Q7" s="9"/>
      <c r="R7" s="10"/>
      <c r="S7" s="9"/>
    </row>
    <row r="8" spans="1:19" ht="12.75">
      <c r="A8" s="10" t="s">
        <v>9</v>
      </c>
      <c r="B8" s="78">
        <f>ABS(B7-B5)</f>
        <v>1300</v>
      </c>
      <c r="C8" s="9"/>
      <c r="D8" s="9"/>
      <c r="E8" s="9"/>
      <c r="F8" s="9"/>
      <c r="G8" s="54" t="s">
        <v>10</v>
      </c>
      <c r="H8" s="55"/>
      <c r="I8" s="9"/>
      <c r="J8" s="10"/>
      <c r="K8" s="10"/>
      <c r="L8" s="82"/>
      <c r="M8" s="9"/>
      <c r="N8" s="40"/>
      <c r="P8" s="31" t="s">
        <v>44</v>
      </c>
      <c r="Q8" s="81"/>
      <c r="R8" s="10"/>
      <c r="S8" s="9"/>
    </row>
    <row r="9" spans="1:19" ht="12.75">
      <c r="A9" s="10"/>
      <c r="B9" s="9"/>
      <c r="C9" s="9"/>
      <c r="D9" s="9"/>
      <c r="E9" s="13" t="s">
        <v>11</v>
      </c>
      <c r="F9" s="9"/>
      <c r="G9" s="14" t="s">
        <v>12</v>
      </c>
      <c r="H9" s="9"/>
      <c r="I9" s="5"/>
      <c r="J9" s="100" t="s">
        <v>40</v>
      </c>
      <c r="K9" s="9"/>
      <c r="L9" s="9"/>
      <c r="M9" s="9"/>
      <c r="N9" s="13"/>
      <c r="O9" s="9"/>
      <c r="P9" s="85" t="s">
        <v>42</v>
      </c>
      <c r="Q9" s="85" t="s">
        <v>41</v>
      </c>
      <c r="R9" s="86" t="s">
        <v>43</v>
      </c>
      <c r="S9" s="86"/>
    </row>
    <row r="10" spans="1:18" ht="12.75">
      <c r="A10" s="10" t="s">
        <v>13</v>
      </c>
      <c r="B10" s="15">
        <f>0.03003/B6</f>
        <v>1.6329526916802612E-05</v>
      </c>
      <c r="C10" s="9" t="s">
        <v>14</v>
      </c>
      <c r="D10" s="16" t="s">
        <v>15</v>
      </c>
      <c r="E10" s="49">
        <f>B10*1000000</f>
        <v>16.32952691680261</v>
      </c>
      <c r="F10" s="53" t="s">
        <v>16</v>
      </c>
      <c r="G10" s="63">
        <f>E10</f>
        <v>16.32952691680261</v>
      </c>
      <c r="H10" s="64" t="s">
        <v>16</v>
      </c>
      <c r="I10" s="41">
        <f>G10/1000000</f>
        <v>1.6329526916802612E-05</v>
      </c>
      <c r="J10" s="10" t="s">
        <v>45</v>
      </c>
      <c r="K10" s="15">
        <f>1/(2*PI()*N6)</f>
        <v>8.841941282883075E-05</v>
      </c>
      <c r="L10" s="9" t="s">
        <v>18</v>
      </c>
      <c r="M10" s="16" t="s">
        <v>15</v>
      </c>
      <c r="N10" s="49">
        <f>K10*1000</f>
        <v>0.08841941282883076</v>
      </c>
      <c r="O10" s="53" t="s">
        <v>19</v>
      </c>
      <c r="P10" s="88">
        <f>2*PI()*N5*K10</f>
        <v>2.777777777777778</v>
      </c>
      <c r="Q10" s="83">
        <f>N14*P10/SQRT(N14^2+P10^2)</f>
        <v>2.7513674254937546</v>
      </c>
      <c r="R10" s="107">
        <f>20*LOG10((N3+Q10)/N3)</f>
        <v>3.1061203709966803</v>
      </c>
    </row>
    <row r="11" spans="1:18" ht="12.75">
      <c r="A11" s="10"/>
      <c r="B11" s="15"/>
      <c r="C11" s="9"/>
      <c r="D11" s="9"/>
      <c r="E11" s="13"/>
      <c r="F11" s="9"/>
      <c r="G11" s="17"/>
      <c r="H11" s="9"/>
      <c r="I11" s="41"/>
      <c r="J11" s="10"/>
      <c r="K11" s="15"/>
      <c r="L11" s="9"/>
      <c r="M11" s="9"/>
      <c r="N11" s="13"/>
      <c r="O11" s="9"/>
      <c r="P11" s="13"/>
      <c r="Q11" s="83"/>
      <c r="R11" s="5"/>
    </row>
    <row r="12" spans="1:18" ht="12.75">
      <c r="A12" s="10" t="s">
        <v>17</v>
      </c>
      <c r="B12" s="15">
        <f>0.02252/(B6^2*B10)</f>
        <v>0.00040778507336419235</v>
      </c>
      <c r="C12" s="9" t="s">
        <v>18</v>
      </c>
      <c r="D12" s="16" t="s">
        <v>15</v>
      </c>
      <c r="E12" s="49">
        <f>B12*1000</f>
        <v>0.40778507336419234</v>
      </c>
      <c r="F12" s="53" t="s">
        <v>19</v>
      </c>
      <c r="G12" s="56">
        <f>B13/(G10/1000000)*1000</f>
        <v>0.40778507336419234</v>
      </c>
      <c r="H12" s="57" t="s">
        <v>19</v>
      </c>
      <c r="I12" s="41">
        <f>G12/1000</f>
        <v>0.00040778507336419235</v>
      </c>
      <c r="J12" s="10" t="s">
        <v>46</v>
      </c>
      <c r="K12" s="15">
        <f>1/(2*PI()*N5)</f>
        <v>3.183098861837907E-05</v>
      </c>
      <c r="L12" s="9" t="s">
        <v>14</v>
      </c>
      <c r="M12" s="16" t="s">
        <v>15</v>
      </c>
      <c r="N12" s="49">
        <f>K12*1000000</f>
        <v>31.830988618379067</v>
      </c>
      <c r="O12" s="53" t="s">
        <v>16</v>
      </c>
      <c r="P12" s="88">
        <f>1/(2*PI()*N6*K12)</f>
        <v>2.7777777777777777</v>
      </c>
      <c r="Q12" s="83">
        <f>N14*P12/SQRT(N14^2+P12^2)</f>
        <v>2.7513674254937546</v>
      </c>
      <c r="R12" s="107">
        <f>20*LOG10((N3+Q12)/N3)</f>
        <v>3.1061203709966803</v>
      </c>
    </row>
    <row r="13" spans="1:10" ht="12.75">
      <c r="A13" s="10" t="s">
        <v>20</v>
      </c>
      <c r="B13" s="15">
        <f>B10*B12</f>
        <v>6.6589373317709065E-09</v>
      </c>
      <c r="C13" s="9"/>
      <c r="D13" s="9"/>
      <c r="E13" s="13"/>
      <c r="F13" s="10" t="s">
        <v>20</v>
      </c>
      <c r="G13" s="18">
        <f>I13</f>
        <v>6.6589373317709065E-09</v>
      </c>
      <c r="H13" s="9"/>
      <c r="I13" s="42">
        <f>I10*I12</f>
        <v>6.6589373317709065E-09</v>
      </c>
      <c r="J13" s="10"/>
    </row>
    <row r="14" spans="1:19" ht="12.75">
      <c r="A14" s="10" t="s">
        <v>21</v>
      </c>
      <c r="B14" s="49">
        <f>1/(6.283185*B10*B8)</f>
        <v>7.497270797283816</v>
      </c>
      <c r="C14" s="50" t="s">
        <v>2</v>
      </c>
      <c r="D14" s="9"/>
      <c r="E14" s="13"/>
      <c r="F14" s="9"/>
      <c r="G14" s="9"/>
      <c r="H14" s="9"/>
      <c r="I14" s="43"/>
      <c r="M14" s="10" t="s">
        <v>21</v>
      </c>
      <c r="N14" s="101">
        <v>20</v>
      </c>
      <c r="O14" s="102" t="s">
        <v>2</v>
      </c>
      <c r="P14" s="103" t="s">
        <v>49</v>
      </c>
      <c r="Q14" s="104"/>
      <c r="R14" s="105"/>
      <c r="S14" s="43"/>
    </row>
    <row r="15" spans="1:18" ht="12.75">
      <c r="A15" s="19"/>
      <c r="B15" s="9"/>
      <c r="C15" s="9"/>
      <c r="D15" s="9"/>
      <c r="E15" s="13"/>
      <c r="F15" s="19" t="s">
        <v>22</v>
      </c>
      <c r="G15" s="58">
        <f>1/SQRT(1/(10^(E4/20)*E3-E3)^2-(6.283185*B6*I10-1/(6.283185*B6*I12))^2)</f>
        <v>3.3103105225884626</v>
      </c>
      <c r="H15" s="59" t="s">
        <v>2</v>
      </c>
      <c r="I15" s="43"/>
      <c r="J15" s="19"/>
      <c r="K15" s="9"/>
      <c r="M15" s="19" t="s">
        <v>22</v>
      </c>
      <c r="N15" s="19"/>
      <c r="O15" s="108" t="s">
        <v>24</v>
      </c>
      <c r="P15" s="108"/>
      <c r="Q15" s="108" t="s">
        <v>26</v>
      </c>
      <c r="R15" s="108"/>
    </row>
    <row r="16" spans="1:19" ht="12.75">
      <c r="A16" s="9"/>
      <c r="B16" s="9"/>
      <c r="C16" s="9"/>
      <c r="D16" s="9"/>
      <c r="E16" s="13"/>
      <c r="F16" s="9"/>
      <c r="G16" s="9"/>
      <c r="H16" s="9"/>
      <c r="I16" s="44" t="s">
        <v>23</v>
      </c>
      <c r="J16" s="9"/>
      <c r="K16" s="9"/>
      <c r="L16" s="89" t="s">
        <v>50</v>
      </c>
      <c r="M16" s="95">
        <f>(10^(N4/20)*N3-N3)*P10/SQRT(P10^2-(10^(N4/20)*N3-N3)^2)</f>
        <v>8.495915369963084</v>
      </c>
      <c r="N16" s="53" t="s">
        <v>2</v>
      </c>
      <c r="O16" s="91">
        <f>M16*P10/SQRT(M16^2+P10^2)</f>
        <v>2.6402402855856284</v>
      </c>
      <c r="P16" s="92" t="s">
        <v>2</v>
      </c>
      <c r="Q16" s="94">
        <f>20*LOG10((N3+O16)/N3)</f>
        <v>3.0000000000000004</v>
      </c>
      <c r="R16" s="87" t="s">
        <v>5</v>
      </c>
      <c r="S16" s="44"/>
    </row>
    <row r="17" spans="1:16" ht="12.75">
      <c r="A17" s="10" t="s">
        <v>23</v>
      </c>
      <c r="B17" s="13">
        <f>1/SQRT(1/B14^2+(6.283185*B6*B10-1/(6.283185*B6*B12))^2)</f>
        <v>7.383111929387053</v>
      </c>
      <c r="C17" s="9"/>
      <c r="D17" s="9"/>
      <c r="E17" s="13"/>
      <c r="F17" s="10" t="s">
        <v>24</v>
      </c>
      <c r="G17" s="13">
        <f>I17</f>
        <v>3.300300356982035</v>
      </c>
      <c r="H17" s="9"/>
      <c r="I17" s="45">
        <f>1/(1/G15^2+(6.283185*B6*I10-1/(6.283185*B6*I12))^2)^0.5</f>
        <v>3.300300356982035</v>
      </c>
      <c r="J17" s="10"/>
      <c r="K17" s="13"/>
      <c r="M17" s="24"/>
      <c r="N17" s="93"/>
      <c r="O17" s="24"/>
      <c r="P17" s="93"/>
    </row>
    <row r="18" spans="1:19" ht="12.75">
      <c r="A18" s="9"/>
      <c r="B18" s="9"/>
      <c r="C18" s="9"/>
      <c r="D18" s="9"/>
      <c r="E18" s="13"/>
      <c r="F18" s="10"/>
      <c r="G18" s="9"/>
      <c r="H18" s="9"/>
      <c r="I18" s="5"/>
      <c r="J18" s="9"/>
      <c r="K18" s="9"/>
      <c r="L18" s="90" t="s">
        <v>51</v>
      </c>
      <c r="M18" s="95">
        <f>(10^(N4/20)*N3-N3)*P12/SQRT(P12^2-(10^(N4/20)*N3-N3)^2)</f>
        <v>8.495915369963098</v>
      </c>
      <c r="N18" s="53" t="s">
        <v>2</v>
      </c>
      <c r="O18" s="91">
        <f>M18*P12/SQRT(M18^2+P12^2)</f>
        <v>2.6402402855856284</v>
      </c>
      <c r="P18" s="92" t="s">
        <v>2</v>
      </c>
      <c r="Q18" s="94">
        <f>20*LOG10((N3+O18)/N3)</f>
        <v>3.0000000000000004</v>
      </c>
      <c r="R18" s="87" t="s">
        <v>5</v>
      </c>
      <c r="S18" s="5"/>
    </row>
    <row r="19" spans="1:19" ht="12.75">
      <c r="A19" s="10" t="s">
        <v>25</v>
      </c>
      <c r="B19" s="51">
        <f>20*LOG10((E3+B17)/E3)</f>
        <v>5.679084260823487</v>
      </c>
      <c r="C19" s="52" t="s">
        <v>5</v>
      </c>
      <c r="D19" s="9"/>
      <c r="E19" s="13"/>
      <c r="F19" s="10" t="s">
        <v>26</v>
      </c>
      <c r="G19" s="60">
        <f>20*LOG10((E3+G17)/E3)</f>
        <v>3.0000000000000004</v>
      </c>
      <c r="H19" s="61" t="s">
        <v>5</v>
      </c>
      <c r="I19" s="5"/>
      <c r="J19" s="10"/>
      <c r="K19" s="84"/>
      <c r="L19" s="87"/>
      <c r="M19" s="9"/>
      <c r="S19" s="5"/>
    </row>
    <row r="20" spans="1:19" ht="12.75">
      <c r="A20" s="9"/>
      <c r="B20" s="9"/>
      <c r="C20" s="9"/>
      <c r="D20" s="9"/>
      <c r="E20" s="13"/>
      <c r="F20" s="9"/>
      <c r="G20" s="9"/>
      <c r="H20" s="9"/>
      <c r="I20" s="5"/>
      <c r="J20" s="9"/>
      <c r="K20" s="9"/>
      <c r="L20" s="96"/>
      <c r="M20" s="97"/>
      <c r="N20" s="98"/>
      <c r="O20" s="10"/>
      <c r="P20" s="10"/>
      <c r="Q20" s="83"/>
      <c r="R20" s="5"/>
      <c r="S20" s="5"/>
    </row>
    <row r="21" spans="1:19" ht="12.75">
      <c r="A21" s="9"/>
      <c r="B21" s="10" t="s">
        <v>27</v>
      </c>
      <c r="C21" s="9" t="s">
        <v>28</v>
      </c>
      <c r="D21" s="9"/>
      <c r="E21" s="13"/>
      <c r="F21" s="9"/>
      <c r="G21" s="9"/>
      <c r="H21" s="9"/>
      <c r="I21" s="5"/>
      <c r="J21" s="9"/>
      <c r="K21" s="10"/>
      <c r="L21" s="99"/>
      <c r="M21" s="99"/>
      <c r="N21" s="99"/>
      <c r="P21" s="10"/>
      <c r="Q21" s="78"/>
      <c r="R21" s="5"/>
      <c r="S21" s="5"/>
    </row>
    <row r="22" spans="1:19" ht="12.75">
      <c r="A22" s="9"/>
      <c r="B22" s="9"/>
      <c r="C22" s="9"/>
      <c r="D22" s="9"/>
      <c r="E22" s="9"/>
      <c r="F22" s="9"/>
      <c r="G22" s="9"/>
      <c r="H22" s="9"/>
      <c r="I22" s="5"/>
      <c r="J22" s="9"/>
      <c r="K22" s="9"/>
      <c r="L22" s="96"/>
      <c r="M22" s="97"/>
      <c r="N22" s="98"/>
      <c r="O22" s="9"/>
      <c r="P22" s="9"/>
      <c r="S22" s="5"/>
    </row>
    <row r="23" spans="1:19" ht="12.75">
      <c r="A23" s="9"/>
      <c r="B23" s="10" t="s">
        <v>29</v>
      </c>
      <c r="C23" s="9" t="s">
        <v>30</v>
      </c>
      <c r="D23" s="9"/>
      <c r="E23" s="13"/>
      <c r="F23" s="9"/>
      <c r="G23" s="9"/>
      <c r="H23" s="9"/>
      <c r="I23" s="5"/>
      <c r="J23" s="9"/>
      <c r="K23" s="10"/>
      <c r="L23" s="9"/>
      <c r="M23" s="9"/>
      <c r="N23" s="13"/>
      <c r="O23" s="9"/>
      <c r="P23" s="9"/>
      <c r="Q23" s="9"/>
      <c r="R23" s="5"/>
      <c r="S23" s="5"/>
    </row>
    <row r="24" spans="1:19" ht="12.75">
      <c r="A24" s="9"/>
      <c r="B24" s="10" t="s">
        <v>31</v>
      </c>
      <c r="C24" s="9"/>
      <c r="D24" s="9"/>
      <c r="E24" s="13"/>
      <c r="F24" s="9"/>
      <c r="G24" s="9"/>
      <c r="H24" s="9"/>
      <c r="I24" s="5"/>
      <c r="J24" s="9"/>
      <c r="K24" s="10"/>
      <c r="L24" s="9"/>
      <c r="M24" s="9"/>
      <c r="N24" s="13"/>
      <c r="O24" s="9"/>
      <c r="P24" s="9"/>
      <c r="Q24" s="9"/>
      <c r="R24" s="5"/>
      <c r="S24" s="5"/>
    </row>
    <row r="25" spans="5:14" ht="12.75">
      <c r="E25" s="20"/>
      <c r="N25" s="20"/>
    </row>
    <row r="26" spans="5:14" ht="12.75">
      <c r="E26" s="20"/>
      <c r="N26" s="20"/>
    </row>
    <row r="27" spans="1:6" ht="12.75">
      <c r="A27" s="21" t="s">
        <v>32</v>
      </c>
      <c r="B27" s="22"/>
      <c r="C27" s="22"/>
      <c r="D27" s="22"/>
      <c r="E27" s="23"/>
      <c r="F27" s="22"/>
    </row>
    <row r="28" spans="1:6" ht="12.75">
      <c r="A28" s="21"/>
      <c r="B28" s="22"/>
      <c r="C28" s="22"/>
      <c r="D28" s="22"/>
      <c r="E28" s="23"/>
      <c r="F28" s="22"/>
    </row>
    <row r="29" spans="3:6" ht="12.75">
      <c r="C29" s="24" t="s">
        <v>1</v>
      </c>
      <c r="E29" s="65">
        <v>8</v>
      </c>
      <c r="F29" s="66" t="s">
        <v>2</v>
      </c>
    </row>
    <row r="30" spans="3:6" ht="12.75">
      <c r="C30" s="24"/>
      <c r="E30" s="26"/>
      <c r="F30" s="25"/>
    </row>
    <row r="31" spans="3:6" ht="12.75">
      <c r="C31" s="24"/>
      <c r="E31" s="27"/>
      <c r="F31" s="28"/>
    </row>
    <row r="32" spans="1:6" ht="12.75">
      <c r="A32" s="29"/>
      <c r="B32" s="30" t="s">
        <v>33</v>
      </c>
      <c r="C32" s="31"/>
      <c r="D32" s="31"/>
      <c r="E32" s="31"/>
      <c r="F32" s="31"/>
    </row>
    <row r="33" spans="1:6" ht="12.75">
      <c r="A33" s="32" t="s">
        <v>34</v>
      </c>
      <c r="B33" s="30" t="s">
        <v>35</v>
      </c>
      <c r="C33" s="46" t="s">
        <v>36</v>
      </c>
      <c r="D33" s="31"/>
      <c r="E33" s="33" t="s">
        <v>37</v>
      </c>
      <c r="F33" s="31"/>
    </row>
    <row r="34" spans="1:6" ht="12.75">
      <c r="A34" s="34" t="s">
        <v>2</v>
      </c>
      <c r="B34" s="35" t="s">
        <v>2</v>
      </c>
      <c r="C34" s="47" t="s">
        <v>2</v>
      </c>
      <c r="D34" s="31"/>
      <c r="E34" s="35" t="s">
        <v>5</v>
      </c>
      <c r="F34" s="31"/>
    </row>
    <row r="35" spans="1:6" ht="12.75">
      <c r="A35" s="36">
        <f>C35-(1/B35+1/C35)^(-1)</f>
        <v>0.4475129897126129</v>
      </c>
      <c r="B35" s="37">
        <f>10^(E35/20)*C35/(1-10^(E35/20))</f>
        <v>135.0126085079675</v>
      </c>
      <c r="C35" s="48">
        <f>E29</f>
        <v>8</v>
      </c>
      <c r="D35" s="31"/>
      <c r="E35" s="39">
        <v>-0.5</v>
      </c>
      <c r="F35" s="31"/>
    </row>
    <row r="36" spans="1:6" ht="12.75">
      <c r="A36" s="36">
        <f aca="true" t="shared" si="0" ref="A36:A58">C36-(1/B36+1/C36)^(-1)</f>
        <v>0.8699924949300364</v>
      </c>
      <c r="B36" s="37">
        <f aca="true" t="shared" si="1" ref="B36:B58">10^(E36/20)*C36/(1-10^(E36/20))</f>
        <v>65.56385299064769</v>
      </c>
      <c r="C36" s="48">
        <f aca="true" t="shared" si="2" ref="C36:C58">C35</f>
        <v>8</v>
      </c>
      <c r="D36" s="31"/>
      <c r="E36" s="40">
        <f>E35-0.5</f>
        <v>-1</v>
      </c>
      <c r="F36" s="31"/>
    </row>
    <row r="37" spans="1:6" ht="12.75">
      <c r="A37" s="67">
        <f t="shared" si="0"/>
        <v>1.2688388668384398</v>
      </c>
      <c r="B37" s="68">
        <f t="shared" si="1"/>
        <v>42.43981680626518</v>
      </c>
      <c r="C37" s="69">
        <f t="shared" si="2"/>
        <v>8</v>
      </c>
      <c r="D37" s="70"/>
      <c r="E37" s="71">
        <f aca="true" t="shared" si="3" ref="E37:E53">E36-0.5</f>
        <v>-1.5</v>
      </c>
      <c r="F37" s="31"/>
    </row>
    <row r="38" spans="1:6" ht="12.75">
      <c r="A38" s="36">
        <f t="shared" si="0"/>
        <v>1.645374122205748</v>
      </c>
      <c r="B38" s="37">
        <f t="shared" si="1"/>
        <v>30.896928750892943</v>
      </c>
      <c r="C38" s="48">
        <f t="shared" si="2"/>
        <v>8</v>
      </c>
      <c r="D38" s="31"/>
      <c r="E38" s="40">
        <f t="shared" si="3"/>
        <v>-2</v>
      </c>
      <c r="F38" s="31"/>
    </row>
    <row r="39" spans="1:6" ht="12.75">
      <c r="A39" s="36">
        <f t="shared" si="0"/>
        <v>2.000846325340353</v>
      </c>
      <c r="B39" s="37">
        <f t="shared" si="1"/>
        <v>23.986464522263255</v>
      </c>
      <c r="C39" s="48">
        <f t="shared" si="2"/>
        <v>8</v>
      </c>
      <c r="D39" s="31"/>
      <c r="E39" s="40">
        <f t="shared" si="3"/>
        <v>-2.5</v>
      </c>
      <c r="F39" s="31"/>
    </row>
    <row r="40" spans="1:6" ht="12.75">
      <c r="A40" s="67">
        <f t="shared" si="0"/>
        <v>2.3364337249268967</v>
      </c>
      <c r="B40" s="68">
        <f t="shared" si="1"/>
        <v>19.392174371221447</v>
      </c>
      <c r="C40" s="69">
        <f t="shared" si="2"/>
        <v>8</v>
      </c>
      <c r="D40" s="70"/>
      <c r="E40" s="71">
        <f t="shared" si="3"/>
        <v>-3</v>
      </c>
      <c r="F40" s="31"/>
    </row>
    <row r="41" spans="1:6" ht="12.75">
      <c r="A41" s="36">
        <f t="shared" si="0"/>
        <v>2.6532486594510836</v>
      </c>
      <c r="B41" s="37">
        <f t="shared" si="1"/>
        <v>16.121372782768358</v>
      </c>
      <c r="C41" s="48">
        <f t="shared" si="2"/>
        <v>8</v>
      </c>
      <c r="D41" s="31"/>
      <c r="E41" s="40">
        <f t="shared" si="3"/>
        <v>-3.5</v>
      </c>
      <c r="F41" s="31"/>
    </row>
    <row r="42" spans="1:6" ht="12.75">
      <c r="A42" s="36">
        <f t="shared" si="0"/>
        <v>2.952341244158454</v>
      </c>
      <c r="B42" s="37">
        <f t="shared" si="1"/>
        <v>13.677710910495643</v>
      </c>
      <c r="C42" s="48">
        <f t="shared" si="2"/>
        <v>8</v>
      </c>
      <c r="D42" s="31"/>
      <c r="E42" s="40">
        <f t="shared" si="3"/>
        <v>-4</v>
      </c>
      <c r="F42" s="31"/>
    </row>
    <row r="43" spans="1:6" ht="12.75">
      <c r="A43" s="67">
        <f t="shared" si="0"/>
        <v>3.234702851767918</v>
      </c>
      <c r="B43" s="68">
        <f t="shared" si="1"/>
        <v>11.785434067002782</v>
      </c>
      <c r="C43" s="69">
        <f t="shared" si="2"/>
        <v>8</v>
      </c>
      <c r="D43" s="70"/>
      <c r="E43" s="71">
        <f t="shared" si="3"/>
        <v>-4.5</v>
      </c>
      <c r="F43" s="31"/>
    </row>
    <row r="44" spans="1:6" ht="12.75">
      <c r="A44" s="36">
        <f t="shared" si="0"/>
        <v>3.5012693984772074</v>
      </c>
      <c r="B44" s="37">
        <f t="shared" si="1"/>
        <v>10.279084730765149</v>
      </c>
      <c r="C44" s="48">
        <f t="shared" si="2"/>
        <v>8</v>
      </c>
      <c r="D44" s="31"/>
      <c r="E44" s="40">
        <f t="shared" si="3"/>
        <v>-5</v>
      </c>
      <c r="F44" s="31"/>
    </row>
    <row r="45" spans="1:6" ht="12.75">
      <c r="A45" s="36">
        <f t="shared" si="0"/>
        <v>3.752924446152094</v>
      </c>
      <c r="B45" s="37">
        <f t="shared" si="1"/>
        <v>9.05336755863011</v>
      </c>
      <c r="C45" s="48">
        <f t="shared" si="2"/>
        <v>8</v>
      </c>
      <c r="D45" s="31"/>
      <c r="E45" s="40">
        <f t="shared" si="3"/>
        <v>-5.5</v>
      </c>
      <c r="F45" s="31"/>
    </row>
    <row r="46" spans="1:6" ht="12.75">
      <c r="A46" s="67">
        <f t="shared" si="0"/>
        <v>3.990502130981822</v>
      </c>
      <c r="B46" s="68">
        <f t="shared" si="1"/>
        <v>8.03808190029796</v>
      </c>
      <c r="C46" s="69">
        <f t="shared" si="2"/>
        <v>8</v>
      </c>
      <c r="D46" s="70"/>
      <c r="E46" s="71">
        <f t="shared" si="3"/>
        <v>-6</v>
      </c>
      <c r="F46" s="31"/>
    </row>
    <row r="47" spans="1:6" ht="12.75">
      <c r="A47" s="36">
        <f t="shared" si="0"/>
        <v>4.214789928308156</v>
      </c>
      <c r="B47" s="37">
        <f t="shared" si="1"/>
        <v>7.18462392873991</v>
      </c>
      <c r="C47" s="48">
        <f t="shared" si="2"/>
        <v>8</v>
      </c>
      <c r="D47" s="31"/>
      <c r="E47" s="40">
        <f t="shared" si="3"/>
        <v>-6.5</v>
      </c>
      <c r="F47" s="31"/>
    </row>
    <row r="48" spans="1:6" ht="12.75">
      <c r="A48" s="36">
        <f t="shared" si="0"/>
        <v>4.426531262792295</v>
      </c>
      <c r="B48" s="37">
        <f t="shared" si="1"/>
        <v>6.458273578221209</v>
      </c>
      <c r="C48" s="48">
        <f t="shared" si="2"/>
        <v>8</v>
      </c>
      <c r="D48" s="31"/>
      <c r="E48" s="40">
        <f t="shared" si="3"/>
        <v>-7</v>
      </c>
      <c r="F48" s="31"/>
    </row>
    <row r="49" spans="1:6" ht="12.75">
      <c r="A49" s="67">
        <f t="shared" si="0"/>
        <v>4.626427972571342</v>
      </c>
      <c r="B49" s="68">
        <f t="shared" si="1"/>
        <v>5.833566712685503</v>
      </c>
      <c r="C49" s="69">
        <f t="shared" si="2"/>
        <v>8</v>
      </c>
      <c r="D49" s="70"/>
      <c r="E49" s="71">
        <f t="shared" si="3"/>
        <v>-7.5</v>
      </c>
      <c r="F49" s="31"/>
    </row>
    <row r="50" spans="1:6" ht="12.75">
      <c r="A50" s="36">
        <f t="shared" si="0"/>
        <v>4.815142635572022</v>
      </c>
      <c r="B50" s="37">
        <f t="shared" si="1"/>
        <v>5.291402735860393</v>
      </c>
      <c r="C50" s="48">
        <f t="shared" si="2"/>
        <v>8</v>
      </c>
      <c r="D50" s="31"/>
      <c r="E50" s="40">
        <f t="shared" si="3"/>
        <v>-8</v>
      </c>
      <c r="F50" s="31"/>
    </row>
    <row r="51" spans="1:6" ht="12.75">
      <c r="A51" s="36">
        <f t="shared" si="0"/>
        <v>4.993300765692447</v>
      </c>
      <c r="B51" s="37">
        <f t="shared" si="1"/>
        <v>4.8171730490832525</v>
      </c>
      <c r="C51" s="48">
        <f t="shared" si="2"/>
        <v>8</v>
      </c>
      <c r="D51" s="31"/>
      <c r="E51" s="40">
        <f t="shared" si="3"/>
        <v>-8.5</v>
      </c>
      <c r="F51" s="31"/>
    </row>
    <row r="52" spans="1:6" ht="12.75">
      <c r="A52" s="67">
        <f t="shared" si="0"/>
        <v>5.161492886131397</v>
      </c>
      <c r="B52" s="68">
        <f t="shared" si="1"/>
        <v>4.399513360168321</v>
      </c>
      <c r="C52" s="69">
        <f t="shared" si="2"/>
        <v>8</v>
      </c>
      <c r="D52" s="70"/>
      <c r="E52" s="71">
        <f t="shared" si="3"/>
        <v>-9</v>
      </c>
      <c r="F52" s="31"/>
    </row>
    <row r="53" spans="1:6" ht="12.75">
      <c r="A53" s="36">
        <f t="shared" si="0"/>
        <v>5.320276486737379</v>
      </c>
      <c r="B53" s="37">
        <f t="shared" si="1"/>
        <v>4.0294500031233405</v>
      </c>
      <c r="C53" s="48">
        <f t="shared" si="2"/>
        <v>8</v>
      </c>
      <c r="D53" s="31"/>
      <c r="E53" s="40">
        <f t="shared" si="3"/>
        <v>-9.5</v>
      </c>
      <c r="F53" s="31"/>
    </row>
    <row r="54" spans="1:6" ht="12.75">
      <c r="A54" s="36">
        <f t="shared" si="0"/>
        <v>5.470177871865296</v>
      </c>
      <c r="B54" s="37">
        <f t="shared" si="1"/>
        <v>3.6998023645941154</v>
      </c>
      <c r="C54" s="48">
        <f t="shared" si="2"/>
        <v>8</v>
      </c>
      <c r="D54" s="31"/>
      <c r="E54" s="40">
        <f>E53-0.5</f>
        <v>-10</v>
      </c>
      <c r="F54" s="31"/>
    </row>
    <row r="55" spans="1:5" ht="12.75">
      <c r="A55" s="67">
        <f t="shared" si="0"/>
        <v>5.611693904865632</v>
      </c>
      <c r="B55" s="68">
        <f t="shared" si="1"/>
        <v>3.4047560478144843</v>
      </c>
      <c r="C55" s="69">
        <f t="shared" si="2"/>
        <v>8</v>
      </c>
      <c r="D55" s="70"/>
      <c r="E55" s="71">
        <f>E54-0.5</f>
        <v>-10.5</v>
      </c>
    </row>
    <row r="56" spans="1:5" ht="12.75">
      <c r="A56" s="36">
        <f t="shared" si="0"/>
        <v>5.745293654988437</v>
      </c>
      <c r="B56" s="37">
        <f t="shared" si="1"/>
        <v>3.139552448190536</v>
      </c>
      <c r="C56" s="48">
        <f t="shared" si="2"/>
        <v>8</v>
      </c>
      <c r="D56" s="31"/>
      <c r="E56" s="40">
        <f>E55-0.5</f>
        <v>-11</v>
      </c>
    </row>
    <row r="57" spans="1:5" ht="12.75">
      <c r="A57" s="36">
        <f t="shared" si="0"/>
        <v>5.871419952160952</v>
      </c>
      <c r="B57" s="37">
        <f t="shared" si="1"/>
        <v>2.9002593106025496</v>
      </c>
      <c r="C57" s="48">
        <f t="shared" si="2"/>
        <v>8</v>
      </c>
      <c r="D57" s="31"/>
      <c r="E57" s="40">
        <f>E56-0.5</f>
        <v>-11.5</v>
      </c>
    </row>
    <row r="58" spans="1:5" ht="12.75">
      <c r="A58" s="67">
        <f t="shared" si="0"/>
        <v>5.990490854792336</v>
      </c>
      <c r="B58" s="68">
        <f t="shared" si="1"/>
        <v>2.683598648481469</v>
      </c>
      <c r="C58" s="69">
        <f t="shared" si="2"/>
        <v>8</v>
      </c>
      <c r="D58" s="70"/>
      <c r="E58" s="71">
        <f>E57-0.5</f>
        <v>-12</v>
      </c>
    </row>
    <row r="59" spans="3:5" ht="12.75">
      <c r="C59" s="38"/>
      <c r="D59" s="31"/>
      <c r="E59" s="40"/>
    </row>
    <row r="60" spans="3:5" ht="12.75">
      <c r="C60" s="38"/>
      <c r="D60" s="31"/>
      <c r="E60" s="40"/>
    </row>
    <row r="61" spans="3:5" ht="12.75">
      <c r="C61" s="38"/>
      <c r="D61" s="31"/>
      <c r="E61" s="40"/>
    </row>
    <row r="62" spans="3:5" ht="12.75">
      <c r="C62" s="38"/>
      <c r="D62" s="31"/>
      <c r="E62" s="40"/>
    </row>
    <row r="63" spans="3:5" ht="12.75">
      <c r="C63" s="38"/>
      <c r="D63" s="31"/>
      <c r="E63" s="40"/>
    </row>
    <row r="64" spans="3:5" ht="12.75">
      <c r="C64" s="38"/>
      <c r="D64" s="31"/>
      <c r="E64" s="4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</sheetData>
  <mergeCells count="2">
    <mergeCell ref="O15:P15"/>
    <mergeCell ref="Q15:R15"/>
  </mergeCells>
  <printOptions horizontalCentered="1"/>
  <pageMargins left="0" right="0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Frank</dc:creator>
  <cp:keywords/>
  <dc:description/>
  <cp:lastModifiedBy>Leo Frank</cp:lastModifiedBy>
  <cp:lastPrinted>2002-01-03T16:33:48Z</cp:lastPrinted>
  <dcterms:created xsi:type="dcterms:W3CDTF">2001-11-24T04:45:42Z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